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3afbf8eab008884/Personal Vault-EonLaptopDell/LaptopData/Techsolutions/Proposals/Solar/"/>
    </mc:Choice>
  </mc:AlternateContent>
  <xr:revisionPtr revIDLastSave="42" documentId="8_{27B545E8-D53E-4099-94F8-850043AC9819}" xr6:coauthVersionLast="47" xr6:coauthVersionMax="47" xr10:uidLastSave="{6AB48614-CF2B-42A6-899A-F859B2CFD387}"/>
  <bookViews>
    <workbookView xWindow="-120" yWindow="-120" windowWidth="29040" windowHeight="15720" xr2:uid="{966B0BBE-FA89-4D0A-AB7C-DD2FC78C6510}"/>
  </bookViews>
  <sheets>
    <sheet name="PV Model" sheetId="1" r:id="rId1"/>
    <sheet name="Generator" sheetId="3" r:id="rId2"/>
    <sheet name="Component Costs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E5" i="2" s="1"/>
  <c r="B7" i="2"/>
  <c r="D6" i="2"/>
  <c r="D7" i="2" s="1"/>
  <c r="D23" i="1"/>
  <c r="F23" i="1" s="1"/>
  <c r="E9" i="1"/>
  <c r="B10" i="3" s="1"/>
  <c r="B11" i="3" s="1"/>
  <c r="A10" i="3"/>
  <c r="B5" i="3"/>
  <c r="B6" i="3" s="1"/>
  <c r="B12" i="3" s="1"/>
  <c r="B17" i="3" s="1"/>
  <c r="D6" i="3"/>
  <c r="D12" i="3" s="1"/>
  <c r="D17" i="3" s="1"/>
  <c r="C6" i="3"/>
  <c r="C12" i="3" s="1"/>
  <c r="C17" i="3" s="1"/>
  <c r="E13" i="1"/>
  <c r="E12" i="1"/>
  <c r="E11" i="1"/>
  <c r="E7" i="2" l="1"/>
  <c r="F14" i="1"/>
  <c r="E6" i="2"/>
  <c r="F12" i="1" s="1"/>
  <c r="C10" i="3"/>
  <c r="F11" i="1"/>
  <c r="E14" i="1"/>
  <c r="F16" i="1" l="1"/>
  <c r="F18" i="1" s="1"/>
  <c r="C11" i="3"/>
  <c r="D10" i="3"/>
  <c r="D11" i="3" s="1"/>
  <c r="F20" i="1" l="1"/>
  <c r="F21" i="1" l="1"/>
  <c r="F24" i="1"/>
  <c r="F25" i="1" s="1"/>
</calcChain>
</file>

<file path=xl/sharedStrings.xml><?xml version="1.0" encoding="utf-8"?>
<sst xmlns="http://schemas.openxmlformats.org/spreadsheetml/2006/main" count="52" uniqueCount="51">
  <si>
    <t>Average Monthly Consumption (kWh)</t>
  </si>
  <si>
    <t>Site Located in JhB</t>
  </si>
  <si>
    <t>Sie located in Cape Town</t>
  </si>
  <si>
    <t>Cost</t>
  </si>
  <si>
    <t>Number of Panels (500W)</t>
  </si>
  <si>
    <t>Item</t>
  </si>
  <si>
    <t>Q</t>
  </si>
  <si>
    <t>LPG</t>
  </si>
  <si>
    <t>Diesel</t>
  </si>
  <si>
    <t>Petrol</t>
  </si>
  <si>
    <t xml:space="preserve"> </t>
  </si>
  <si>
    <t>Fuel Cost R per Gallon</t>
  </si>
  <si>
    <t>Notes</t>
  </si>
  <si>
    <t>Engine Efficiency %</t>
  </si>
  <si>
    <t>Energy Content (BTU)</t>
  </si>
  <si>
    <t>Finance Period (years)</t>
  </si>
  <si>
    <t>Finance Cost R/m over 5 years</t>
  </si>
  <si>
    <t>Capital Cost for 10kVA unit</t>
  </si>
  <si>
    <t>Fuel Cost R/kWh</t>
  </si>
  <si>
    <t>The fuel cost to run a 5kVA generator for 6 hours is</t>
  </si>
  <si>
    <t>Fuel cost (see notes)</t>
  </si>
  <si>
    <t xml:space="preserve">- The fuel of LPG is for 48kg </t>
  </si>
  <si>
    <t>- The fuel price for petrol and diesel is per liter</t>
  </si>
  <si>
    <t>Installation + Materials (35%)</t>
  </si>
  <si>
    <t>Uprate</t>
  </si>
  <si>
    <t>Monthly increase in bond</t>
  </si>
  <si>
    <t>TOTAL Hardware (incl VAT)</t>
  </si>
  <si>
    <t>Price</t>
  </si>
  <si>
    <t>Size kW</t>
  </si>
  <si>
    <t>VAT %</t>
  </si>
  <si>
    <t>R/kW</t>
  </si>
  <si>
    <t>Inverter</t>
  </si>
  <si>
    <t>Panels</t>
  </si>
  <si>
    <t>PV Panel Size (kW)</t>
  </si>
  <si>
    <t>Battery Li-Iron</t>
  </si>
  <si>
    <t>Prime Rate</t>
  </si>
  <si>
    <t>- The R/kWh running cost is for fuel only and excludes capital and maintenance</t>
  </si>
  <si>
    <t>Component</t>
  </si>
  <si>
    <t>Note: some of the capex may be deducted from tax or rebates claimed</t>
  </si>
  <si>
    <t>Modelling of PV System Cost</t>
  </si>
  <si>
    <t>PV System Cost per kWh (incl VAT)</t>
  </si>
  <si>
    <t>Electricity Account</t>
  </si>
  <si>
    <t>Monthly saving</t>
  </si>
  <si>
    <t>% Consumption at Night</t>
  </si>
  <si>
    <t>Municipal Electricity cost per kWh</t>
  </si>
  <si>
    <t>Generator Running Cost</t>
  </si>
  <si>
    <t>Component Cost</t>
  </si>
  <si>
    <t>Inverter Size(kW)</t>
  </si>
  <si>
    <t>Battery Size (kWh)</t>
  </si>
  <si>
    <t>TOTAL Capital Cost (Incl VAT)</t>
  </si>
  <si>
    <t>units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</si>
</sst>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4" fontId="0" fillId="0" borderId="0" xfId="0" applyNumberFormat="1"/>
    <xf numFmtId="0" fontId="2" fillId="0" borderId="1" xfId="0" applyFon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4" xfId="0" applyBorder="1"/>
    <xf numFmtId="4" fontId="0" fillId="0" borderId="5" xfId="0" applyNumberFormat="1" applyBorder="1"/>
    <xf numFmtId="0" fontId="0" fillId="0" borderId="4" xfId="0" quotePrefix="1" applyBorder="1"/>
    <xf numFmtId="0" fontId="0" fillId="0" borderId="6" xfId="0" applyBorder="1"/>
    <xf numFmtId="0" fontId="0" fillId="0" borderId="7" xfId="0" applyBorder="1"/>
    <xf numFmtId="4" fontId="0" fillId="0" borderId="7" xfId="0" applyNumberFormat="1" applyBorder="1"/>
    <xf numFmtId="4" fontId="0" fillId="0" borderId="8" xfId="0" applyNumberFormat="1" applyBorder="1"/>
    <xf numFmtId="0" fontId="1" fillId="0" borderId="9" xfId="0" applyFont="1" applyBorder="1"/>
    <xf numFmtId="0" fontId="1" fillId="0" borderId="10" xfId="0" applyFont="1" applyBorder="1"/>
    <xf numFmtId="0" fontId="0" fillId="0" borderId="1" xfId="0" applyBorder="1"/>
    <xf numFmtId="0" fontId="1" fillId="0" borderId="6" xfId="0" applyFont="1" applyBorder="1"/>
    <xf numFmtId="4" fontId="1" fillId="0" borderId="12" xfId="0" applyNumberFormat="1" applyFont="1" applyBorder="1" applyAlignment="1">
      <alignment horizontal="right"/>
    </xf>
    <xf numFmtId="4" fontId="1" fillId="0" borderId="9" xfId="0" applyNumberFormat="1" applyFont="1" applyBorder="1" applyAlignment="1">
      <alignment horizontal="right"/>
    </xf>
    <xf numFmtId="4" fontId="0" fillId="0" borderId="13" xfId="0" applyNumberFormat="1" applyBorder="1"/>
    <xf numFmtId="4" fontId="0" fillId="0" borderId="14" xfId="0" applyNumberFormat="1" applyBorder="1"/>
    <xf numFmtId="4" fontId="1" fillId="0" borderId="15" xfId="0" applyNumberFormat="1" applyFont="1" applyBorder="1"/>
    <xf numFmtId="4" fontId="1" fillId="0" borderId="7" xfId="0" applyNumberFormat="1" applyFont="1" applyBorder="1"/>
    <xf numFmtId="4" fontId="0" fillId="2" borderId="13" xfId="0" applyNumberFormat="1" applyFill="1" applyBorder="1"/>
    <xf numFmtId="4" fontId="0" fillId="2" borderId="2" xfId="0" applyNumberFormat="1" applyFill="1" applyBorder="1"/>
    <xf numFmtId="0" fontId="1" fillId="0" borderId="1" xfId="0" applyFont="1" applyBorder="1"/>
    <xf numFmtId="0" fontId="0" fillId="0" borderId="6" xfId="0" quotePrefix="1" applyBorder="1"/>
    <xf numFmtId="4" fontId="0" fillId="0" borderId="15" xfId="0" applyNumberFormat="1" applyBorder="1"/>
    <xf numFmtId="4" fontId="1" fillId="0" borderId="10" xfId="0" applyNumberFormat="1" applyFont="1" applyBorder="1"/>
    <xf numFmtId="4" fontId="1" fillId="0" borderId="11" xfId="0" applyNumberFormat="1" applyFont="1" applyBorder="1"/>
    <xf numFmtId="0" fontId="1" fillId="0" borderId="12" xfId="0" applyFont="1" applyBorder="1"/>
    <xf numFmtId="4" fontId="1" fillId="0" borderId="12" xfId="0" applyNumberFormat="1" applyFont="1" applyBorder="1"/>
    <xf numFmtId="3" fontId="0" fillId="0" borderId="0" xfId="0" applyNumberFormat="1"/>
    <xf numFmtId="10" fontId="0" fillId="0" borderId="0" xfId="0" applyNumberFormat="1"/>
    <xf numFmtId="4" fontId="0" fillId="2" borderId="0" xfId="0" applyNumberFormat="1" applyFill="1"/>
    <xf numFmtId="10" fontId="0" fillId="0" borderId="7" xfId="0" applyNumberFormat="1" applyBorder="1"/>
    <xf numFmtId="9" fontId="0" fillId="0" borderId="7" xfId="0" applyNumberFormat="1" applyBorder="1"/>
    <xf numFmtId="164" fontId="0" fillId="2" borderId="7" xfId="1" applyNumberFormat="1" applyFont="1" applyFill="1" applyBorder="1"/>
    <xf numFmtId="4" fontId="0" fillId="0" borderId="16" xfId="0" applyNumberFormat="1" applyBorder="1"/>
    <xf numFmtId="0" fontId="5" fillId="0" borderId="4" xfId="0" applyFont="1" applyBorder="1"/>
    <xf numFmtId="10" fontId="0" fillId="0" borderId="14" xfId="0" applyNumberFormat="1" applyBorder="1"/>
    <xf numFmtId="0" fontId="1" fillId="0" borderId="10" xfId="0" applyFont="1" applyBorder="1" applyAlignment="1">
      <alignment horizontal="right"/>
    </xf>
    <xf numFmtId="3" fontId="0" fillId="0" borderId="2" xfId="0" applyNumberFormat="1" applyBorder="1"/>
    <xf numFmtId="3" fontId="0" fillId="0" borderId="7" xfId="0" applyNumberFormat="1" applyBorder="1"/>
    <xf numFmtId="3" fontId="1" fillId="0" borderId="10" xfId="0" applyNumberFormat="1" applyFont="1" applyBorder="1" applyAlignment="1">
      <alignment horizontal="right"/>
    </xf>
    <xf numFmtId="3" fontId="0" fillId="0" borderId="3" xfId="0" applyNumberFormat="1" applyBorder="1"/>
    <xf numFmtId="3" fontId="0" fillId="0" borderId="5" xfId="0" applyNumberFormat="1" applyBorder="1"/>
    <xf numFmtId="3" fontId="0" fillId="0" borderId="8" xfId="0" applyNumberFormat="1" applyBorder="1"/>
    <xf numFmtId="3" fontId="1" fillId="0" borderId="11" xfId="0" applyNumberFormat="1" applyFont="1" applyBorder="1" applyAlignment="1">
      <alignment horizontal="right"/>
    </xf>
    <xf numFmtId="0" fontId="4" fillId="0" borderId="0" xfId="0" applyFont="1"/>
    <xf numFmtId="4" fontId="4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C100-CCC5-4782-9353-A6400EFAA13C}">
  <dimension ref="A1:L27"/>
  <sheetViews>
    <sheetView showGridLines="0" tabSelected="1" workbookViewId="0">
      <selection activeCell="H12" sqref="H12"/>
    </sheetView>
  </sheetViews>
  <sheetFormatPr defaultRowHeight="15" x14ac:dyDescent="0.25"/>
  <cols>
    <col min="1" max="1" width="11.5703125" customWidth="1"/>
    <col min="5" max="5" width="9.140625" style="1"/>
    <col min="6" max="6" width="10.140625" style="1" bestFit="1" customWidth="1"/>
    <col min="12" max="12" width="12" bestFit="1" customWidth="1"/>
  </cols>
  <sheetData>
    <row r="1" spans="1:6" ht="18.75" x14ac:dyDescent="0.3">
      <c r="A1" s="2" t="s">
        <v>39</v>
      </c>
      <c r="B1" s="3"/>
      <c r="C1" s="3"/>
      <c r="D1" s="3"/>
      <c r="E1" s="4"/>
      <c r="F1" s="5"/>
    </row>
    <row r="2" spans="1:6" x14ac:dyDescent="0.25">
      <c r="A2" s="6"/>
      <c r="F2" s="7"/>
    </row>
    <row r="3" spans="1:6" x14ac:dyDescent="0.25">
      <c r="A3" s="6" t="s">
        <v>0</v>
      </c>
      <c r="E3" s="34">
        <v>600</v>
      </c>
      <c r="F3" s="7"/>
    </row>
    <row r="4" spans="1:6" x14ac:dyDescent="0.25">
      <c r="A4" s="8" t="s">
        <v>43</v>
      </c>
      <c r="E4" s="34">
        <v>20</v>
      </c>
      <c r="F4" s="7"/>
    </row>
    <row r="5" spans="1:6" x14ac:dyDescent="0.25">
      <c r="A5" s="6" t="s">
        <v>1</v>
      </c>
      <c r="E5" s="34">
        <v>1</v>
      </c>
      <c r="F5" s="7"/>
    </row>
    <row r="6" spans="1:6" x14ac:dyDescent="0.25">
      <c r="A6" s="6" t="s">
        <v>2</v>
      </c>
      <c r="E6" s="34">
        <v>0</v>
      </c>
      <c r="F6" s="7"/>
    </row>
    <row r="7" spans="1:6" x14ac:dyDescent="0.25">
      <c r="A7" s="6" t="s">
        <v>15</v>
      </c>
      <c r="E7" s="34">
        <v>20</v>
      </c>
      <c r="F7" s="7"/>
    </row>
    <row r="8" spans="1:6" x14ac:dyDescent="0.25">
      <c r="A8" s="6" t="s">
        <v>44</v>
      </c>
      <c r="E8" s="34">
        <v>3.32</v>
      </c>
      <c r="F8" s="7"/>
    </row>
    <row r="9" spans="1:6" x14ac:dyDescent="0.25">
      <c r="A9" s="9" t="s">
        <v>35</v>
      </c>
      <c r="B9" s="35">
        <v>0.105</v>
      </c>
      <c r="C9" s="10" t="s">
        <v>24</v>
      </c>
      <c r="D9" s="36">
        <v>0.01</v>
      </c>
      <c r="E9" s="37">
        <f>D9+B9</f>
        <v>0.11499999999999999</v>
      </c>
      <c r="F9" s="12"/>
    </row>
    <row r="10" spans="1:6" x14ac:dyDescent="0.25">
      <c r="A10" s="13" t="s">
        <v>5</v>
      </c>
      <c r="B10" s="14"/>
      <c r="C10" s="14"/>
      <c r="D10" s="14"/>
      <c r="E10" s="17" t="s">
        <v>6</v>
      </c>
      <c r="F10" s="17" t="s">
        <v>3</v>
      </c>
    </row>
    <row r="11" spans="1:6" x14ac:dyDescent="0.25">
      <c r="A11" s="15" t="s">
        <v>47</v>
      </c>
      <c r="B11" s="3"/>
      <c r="C11" s="3"/>
      <c r="D11" s="3"/>
      <c r="E11" s="19">
        <f>+E3/30/24*5*1.2</f>
        <v>5</v>
      </c>
      <c r="F11" s="19">
        <f>+'Component Costs'!E5*'PV Model'!E11</f>
        <v>7314</v>
      </c>
    </row>
    <row r="12" spans="1:6" x14ac:dyDescent="0.25">
      <c r="A12" s="6" t="s">
        <v>48</v>
      </c>
      <c r="E12" s="20">
        <f>+E3/30*E4/100*1.5</f>
        <v>6</v>
      </c>
      <c r="F12" s="20">
        <f>+'Component Costs'!E6*'PV Model'!E12</f>
        <v>27600</v>
      </c>
    </row>
    <row r="13" spans="1:6" x14ac:dyDescent="0.25">
      <c r="A13" s="6" t="s">
        <v>33</v>
      </c>
      <c r="E13" s="20">
        <f>+E3/30/8*2*(1.2*E5+1.4*E6)</f>
        <v>6</v>
      </c>
      <c r="F13" s="20"/>
    </row>
    <row r="14" spans="1:6" x14ac:dyDescent="0.25">
      <c r="A14" s="6" t="s">
        <v>4</v>
      </c>
      <c r="E14" s="20">
        <f>+E13*2</f>
        <v>12</v>
      </c>
      <c r="F14" s="20">
        <f>+E13*'Component Costs'!E7</f>
        <v>21166.690909090907</v>
      </c>
    </row>
    <row r="15" spans="1:6" x14ac:dyDescent="0.25">
      <c r="A15" s="6"/>
      <c r="E15" s="20"/>
      <c r="F15" s="20"/>
    </row>
    <row r="16" spans="1:6" x14ac:dyDescent="0.25">
      <c r="A16" s="6" t="s">
        <v>26</v>
      </c>
      <c r="E16" s="20"/>
      <c r="F16" s="20">
        <f>SUM(F11:F15)</f>
        <v>56080.690909090903</v>
      </c>
    </row>
    <row r="17" spans="1:12" x14ac:dyDescent="0.25">
      <c r="A17" s="6"/>
      <c r="E17" s="20"/>
      <c r="F17" s="20"/>
    </row>
    <row r="18" spans="1:12" x14ac:dyDescent="0.25">
      <c r="A18" s="6" t="s">
        <v>23</v>
      </c>
      <c r="E18" s="20"/>
      <c r="F18" s="20">
        <f>+F16*0.35</f>
        <v>19628.241818181814</v>
      </c>
    </row>
    <row r="19" spans="1:12" x14ac:dyDescent="0.25">
      <c r="A19" s="9"/>
      <c r="B19" s="10"/>
      <c r="C19" s="10"/>
      <c r="D19" s="10"/>
      <c r="E19" s="27"/>
      <c r="F19" s="27"/>
    </row>
    <row r="20" spans="1:12" x14ac:dyDescent="0.25">
      <c r="A20" s="9" t="s">
        <v>49</v>
      </c>
      <c r="B20" s="10"/>
      <c r="C20" s="10"/>
      <c r="D20" s="10"/>
      <c r="E20" s="11"/>
      <c r="F20" s="12">
        <f>SUM(F16:F19)</f>
        <v>75708.93272727271</v>
      </c>
      <c r="L20" s="32"/>
    </row>
    <row r="21" spans="1:12" x14ac:dyDescent="0.25">
      <c r="A21" s="13" t="s">
        <v>40</v>
      </c>
      <c r="B21" s="14"/>
      <c r="C21" s="14"/>
      <c r="D21" s="14"/>
      <c r="E21" s="28"/>
      <c r="F21" s="29">
        <f>PMT(E9/12,12*E7,-F20)/E3</f>
        <v>1.3456374871762875</v>
      </c>
    </row>
    <row r="23" spans="1:12" x14ac:dyDescent="0.25">
      <c r="A23" t="s">
        <v>41</v>
      </c>
      <c r="D23" s="1">
        <f>E3</f>
        <v>600</v>
      </c>
      <c r="E23" s="1" t="s">
        <v>50</v>
      </c>
      <c r="F23" s="1">
        <f>D23*E8</f>
        <v>1992</v>
      </c>
    </row>
    <row r="24" spans="1:12" ht="15.75" thickBot="1" x14ac:dyDescent="0.3">
      <c r="A24" t="s">
        <v>25</v>
      </c>
      <c r="F24" s="38">
        <f>PMT(E9/12,E7*12,-F20)</f>
        <v>807.38249230577253</v>
      </c>
    </row>
    <row r="25" spans="1:12" ht="15.75" thickTop="1" x14ac:dyDescent="0.25">
      <c r="A25" s="49" t="s">
        <v>42</v>
      </c>
      <c r="B25" s="49"/>
      <c r="C25" s="49"/>
      <c r="D25" s="49"/>
      <c r="E25" s="50"/>
      <c r="F25" s="50">
        <f>F23-F24</f>
        <v>1184.6175076942275</v>
      </c>
    </row>
    <row r="27" spans="1:12" x14ac:dyDescent="0.25">
      <c r="A27" t="s">
        <v>38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640DD-400E-44C8-9D07-0DC8CF6DA818}">
  <dimension ref="A1:D17"/>
  <sheetViews>
    <sheetView showGridLines="0" workbookViewId="0">
      <selection activeCell="B12" sqref="B12"/>
    </sheetView>
  </sheetViews>
  <sheetFormatPr defaultRowHeight="15" x14ac:dyDescent="0.25"/>
  <cols>
    <col min="1" max="1" width="43.28515625" customWidth="1"/>
    <col min="2" max="2" width="9.28515625" style="1" bestFit="1" customWidth="1"/>
    <col min="3" max="4" width="10.140625" style="1" bestFit="1" customWidth="1"/>
  </cols>
  <sheetData>
    <row r="1" spans="1:4" x14ac:dyDescent="0.25">
      <c r="A1" s="15"/>
      <c r="B1" s="4"/>
      <c r="C1" s="4"/>
      <c r="D1" s="5"/>
    </row>
    <row r="2" spans="1:4" ht="26.25" x14ac:dyDescent="0.4">
      <c r="A2" s="39" t="s">
        <v>45</v>
      </c>
      <c r="D2" s="7"/>
    </row>
    <row r="3" spans="1:4" x14ac:dyDescent="0.25">
      <c r="A3" s="9"/>
      <c r="B3" s="11"/>
      <c r="C3" s="11"/>
      <c r="D3" s="12"/>
    </row>
    <row r="4" spans="1:4" x14ac:dyDescent="0.25">
      <c r="A4" s="30" t="s">
        <v>5</v>
      </c>
      <c r="B4" s="17" t="s">
        <v>7</v>
      </c>
      <c r="C4" s="18" t="s">
        <v>8</v>
      </c>
      <c r="D4" s="17" t="s">
        <v>9</v>
      </c>
    </row>
    <row r="5" spans="1:4" x14ac:dyDescent="0.25">
      <c r="A5" s="15" t="s">
        <v>20</v>
      </c>
      <c r="B5" s="23">
        <f>1660</f>
        <v>1660</v>
      </c>
      <c r="C5" s="24">
        <v>23</v>
      </c>
      <c r="D5" s="23">
        <v>22</v>
      </c>
    </row>
    <row r="6" spans="1:4" x14ac:dyDescent="0.25">
      <c r="A6" s="6" t="s">
        <v>11</v>
      </c>
      <c r="B6" s="20">
        <f>+B5*2.1/48</f>
        <v>72.625</v>
      </c>
      <c r="C6" s="1">
        <f>+C5*3.8</f>
        <v>87.399999999999991</v>
      </c>
      <c r="D6" s="20">
        <f>+D5*3.8</f>
        <v>83.6</v>
      </c>
    </row>
    <row r="7" spans="1:4" x14ac:dyDescent="0.25">
      <c r="A7" s="6" t="s">
        <v>14</v>
      </c>
      <c r="B7" s="20">
        <v>91452</v>
      </c>
      <c r="C7" s="1">
        <v>137381</v>
      </c>
      <c r="D7" s="20">
        <v>120238</v>
      </c>
    </row>
    <row r="8" spans="1:4" x14ac:dyDescent="0.25">
      <c r="A8" s="6" t="s">
        <v>13</v>
      </c>
      <c r="B8" s="20">
        <v>22.3</v>
      </c>
      <c r="C8" s="1">
        <v>27</v>
      </c>
      <c r="D8" s="20">
        <v>19.3</v>
      </c>
    </row>
    <row r="9" spans="1:4" x14ac:dyDescent="0.25">
      <c r="A9" s="6" t="s">
        <v>17</v>
      </c>
      <c r="B9" s="20">
        <v>18000</v>
      </c>
      <c r="C9" s="1">
        <v>40000</v>
      </c>
      <c r="D9" s="20">
        <v>16000</v>
      </c>
    </row>
    <row r="10" spans="1:4" x14ac:dyDescent="0.25">
      <c r="A10" s="6" t="str">
        <f>+'PV Model'!A9</f>
        <v>Prime Rate</v>
      </c>
      <c r="B10" s="40">
        <f>+'PV Model'!E9</f>
        <v>0.11499999999999999</v>
      </c>
      <c r="C10" s="33">
        <f>+B10</f>
        <v>0.11499999999999999</v>
      </c>
      <c r="D10" s="40">
        <f>+C10</f>
        <v>0.11499999999999999</v>
      </c>
    </row>
    <row r="11" spans="1:4" x14ac:dyDescent="0.25">
      <c r="A11" s="9" t="s">
        <v>16</v>
      </c>
      <c r="B11" s="27">
        <f>+PMT(B10/100/12,60,-B9)</f>
        <v>300.87770129285133</v>
      </c>
      <c r="C11" s="27">
        <f t="shared" ref="C11:D11" si="0">+PMT(C10/100/12,60,-C9)</f>
        <v>668.6171139841141</v>
      </c>
      <c r="D11" s="27">
        <f t="shared" si="0"/>
        <v>267.44684559364561</v>
      </c>
    </row>
    <row r="12" spans="1:4" x14ac:dyDescent="0.25">
      <c r="A12" s="16" t="s">
        <v>18</v>
      </c>
      <c r="B12" s="21">
        <f>+B6*3412/B7/(B8/100)</f>
        <v>12.150582461450531</v>
      </c>
      <c r="C12" s="22">
        <f t="shared" ref="C12:D12" si="1">+C6*3412/C7/(C8/100)</f>
        <v>8.0395181068491048</v>
      </c>
      <c r="D12" s="21">
        <f t="shared" si="1"/>
        <v>12.291821565983939</v>
      </c>
    </row>
    <row r="13" spans="1:4" x14ac:dyDescent="0.25">
      <c r="A13" s="25" t="s">
        <v>12</v>
      </c>
      <c r="B13" s="4" t="s">
        <v>10</v>
      </c>
      <c r="C13" s="4"/>
      <c r="D13" s="5"/>
    </row>
    <row r="14" spans="1:4" x14ac:dyDescent="0.25">
      <c r="A14" s="8" t="s">
        <v>36</v>
      </c>
      <c r="D14" s="7"/>
    </row>
    <row r="15" spans="1:4" x14ac:dyDescent="0.25">
      <c r="A15" s="8" t="s">
        <v>21</v>
      </c>
      <c r="D15" s="7"/>
    </row>
    <row r="16" spans="1:4" x14ac:dyDescent="0.25">
      <c r="A16" s="26" t="s">
        <v>22</v>
      </c>
      <c r="B16" s="11"/>
      <c r="C16" s="11"/>
      <c r="D16" s="12"/>
    </row>
    <row r="17" spans="1:4" x14ac:dyDescent="0.25">
      <c r="A17" s="13" t="s">
        <v>19</v>
      </c>
      <c r="B17" s="31">
        <f>+B12*6</f>
        <v>72.903494768703183</v>
      </c>
      <c r="C17" s="28">
        <f t="shared" ref="C17:D17" si="2">+C12*6</f>
        <v>48.237108641094629</v>
      </c>
      <c r="D17" s="31">
        <f t="shared" si="2"/>
        <v>73.75092939590364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011A-9FE2-4CDF-9698-EE7E45F61703}">
  <dimension ref="A1:E7"/>
  <sheetViews>
    <sheetView showGridLines="0" workbookViewId="0">
      <selection activeCell="B6" sqref="B6"/>
    </sheetView>
  </sheetViews>
  <sheetFormatPr defaultRowHeight="15" x14ac:dyDescent="0.25"/>
  <cols>
    <col min="1" max="1" width="17.5703125" customWidth="1"/>
    <col min="2" max="2" width="9.140625" style="32"/>
    <col min="5" max="5" width="9.140625" style="32"/>
  </cols>
  <sheetData>
    <row r="1" spans="1:5" x14ac:dyDescent="0.25">
      <c r="A1" s="15"/>
      <c r="B1" s="42"/>
      <c r="C1" s="3"/>
      <c r="D1" s="3"/>
      <c r="E1" s="45"/>
    </row>
    <row r="2" spans="1:5" ht="26.25" x14ac:dyDescent="0.4">
      <c r="A2" s="39" t="s">
        <v>46</v>
      </c>
      <c r="E2" s="46"/>
    </row>
    <row r="3" spans="1:5" x14ac:dyDescent="0.25">
      <c r="A3" s="9"/>
      <c r="B3" s="43"/>
      <c r="C3" s="10"/>
      <c r="D3" s="10"/>
      <c r="E3" s="47"/>
    </row>
    <row r="4" spans="1:5" x14ac:dyDescent="0.25">
      <c r="A4" s="13" t="s">
        <v>37</v>
      </c>
      <c r="B4" s="44" t="s">
        <v>27</v>
      </c>
      <c r="C4" s="41" t="s">
        <v>28</v>
      </c>
      <c r="D4" s="41" t="s">
        <v>29</v>
      </c>
      <c r="E4" s="48" t="s">
        <v>30</v>
      </c>
    </row>
    <row r="5" spans="1:5" x14ac:dyDescent="0.25">
      <c r="A5" s="15" t="s">
        <v>31</v>
      </c>
      <c r="B5" s="42">
        <f>5300*1.2</f>
        <v>6360</v>
      </c>
      <c r="C5" s="3">
        <v>5</v>
      </c>
      <c r="D5" s="3">
        <v>15</v>
      </c>
      <c r="E5" s="45">
        <f>+B5/C5*(1+D5/100)</f>
        <v>1462.8</v>
      </c>
    </row>
    <row r="6" spans="1:5" x14ac:dyDescent="0.25">
      <c r="A6" s="6" t="s">
        <v>34</v>
      </c>
      <c r="B6" s="32">
        <v>12000</v>
      </c>
      <c r="C6">
        <v>3</v>
      </c>
      <c r="D6">
        <f>+D5</f>
        <v>15</v>
      </c>
      <c r="E6" s="46">
        <f>+B6/C6*(1+D6/100)</f>
        <v>4600</v>
      </c>
    </row>
    <row r="7" spans="1:5" x14ac:dyDescent="0.25">
      <c r="A7" s="9" t="s">
        <v>32</v>
      </c>
      <c r="B7" s="43">
        <f>1406*1.2</f>
        <v>1687.2</v>
      </c>
      <c r="C7" s="10">
        <v>0.55000000000000004</v>
      </c>
      <c r="D7" s="10">
        <f>+D6</f>
        <v>15</v>
      </c>
      <c r="E7" s="47">
        <f>+B7/C7*(1+D7/100)</f>
        <v>3527.7818181818179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PV Model</vt:lpstr>
      <vt:lpstr>Generator</vt:lpstr>
      <vt:lpstr>Component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Eon de Koker</dc:creator>
  <cp:lastModifiedBy>Eon de Koker</cp:lastModifiedBy>
  <dcterms:created xsi:type="dcterms:W3CDTF">2022-12-09T17:21:52Z</dcterms:created>
  <dcterms:modified xsi:type="dcterms:W3CDTF">2024-08-23T11:45:37Z</dcterms:modified>
</cp:coreProperties>
</file>